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showInkAnnotation="0" autoCompressPictures="0"/>
  <xr:revisionPtr revIDLastSave="0" documentId="13_ncr:1_{011F9CAD-97F9-4CC7-AB8F-93BE09B93E59}" xr6:coauthVersionLast="47" xr6:coauthVersionMax="47" xr10:uidLastSave="{00000000-0000-0000-0000-000000000000}"/>
  <bookViews>
    <workbookView showHorizontalScroll="0" showVerticalScroll="0" showSheetTabs="0" xWindow="5475" yWindow="3015" windowWidth="30960" windowHeight="17190" xr2:uid="{00000000-000D-0000-FFFF-FFFF00000000}"/>
  </bookViews>
  <sheets>
    <sheet name="Kostenkalkulation Leerrohr" sheetId="4" r:id="rId1"/>
  </sheets>
  <definedNames>
    <definedName name="_xlnm.Print_Area" localSheetId="0">'Kostenkalkulation Leerrohr'!$A$2:$K$88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4" l="1"/>
  <c r="G19" i="4" l="1"/>
  <c r="G39" i="4"/>
  <c r="G40" i="4" s="1"/>
  <c r="G51" i="4"/>
  <c r="G18" i="4"/>
  <c r="G26" i="4" s="1"/>
  <c r="G23" i="4"/>
  <c r="G65" i="4" s="1"/>
  <c r="G60" i="4"/>
  <c r="G62" i="4" s="1"/>
  <c r="G64" i="4" s="1"/>
  <c r="G67" i="4"/>
  <c r="G82" i="4"/>
  <c r="G89" i="4"/>
  <c r="G50" i="4"/>
  <c r="G52" i="4"/>
  <c r="E22" i="4"/>
  <c r="E24" i="4"/>
  <c r="E44" i="4"/>
  <c r="E64" i="4"/>
  <c r="E65" i="4"/>
  <c r="E66" i="4" s="1"/>
  <c r="E68" i="4" l="1"/>
  <c r="E76" i="4" s="1"/>
  <c r="E84" i="4" s="1"/>
  <c r="E27" i="4"/>
  <c r="G66" i="4"/>
  <c r="G68" i="4" s="1"/>
  <c r="G74" i="4" s="1"/>
  <c r="G25" i="4"/>
  <c r="G20" i="4"/>
  <c r="G22" i="4" s="1"/>
  <c r="G24" i="4" l="1"/>
  <c r="G27" i="4" s="1"/>
  <c r="G34" i="4" s="1"/>
  <c r="G44" i="4" s="1"/>
  <c r="G76" i="4" s="1"/>
  <c r="G84" i="4" s="1"/>
  <c r="G88" i="4" s="1"/>
  <c r="G90" i="4" s="1"/>
  <c r="G91" i="4" s="1"/>
</calcChain>
</file>

<file path=xl/sharedStrings.xml><?xml version="1.0" encoding="utf-8"?>
<sst xmlns="http://schemas.openxmlformats.org/spreadsheetml/2006/main" count="76" uniqueCount="61">
  <si>
    <t>Gesamtkosten p.a.</t>
  </si>
  <si>
    <t>Nutzungsdauer (ND) in Jahren</t>
  </si>
  <si>
    <t>Bewertung zu Wiederbeschaffungswerten</t>
  </si>
  <si>
    <t>Kapitalkostenzinssatz (WACC) auf das durchschnittlich gebundene Kapital (Nachweis für die Höhe des WACC ist beizubringen)</t>
  </si>
  <si>
    <t>Anmerkungen:</t>
  </si>
  <si>
    <t>Wartung &amp; Instandhaltung p.a.</t>
  </si>
  <si>
    <t>wirtschaftliche Nutzungsdauer</t>
  </si>
  <si>
    <t>[Abschreibung p.a.]</t>
  </si>
  <si>
    <t>(Wird errechnet)</t>
  </si>
  <si>
    <t>[Kapitalkosten p.a.]</t>
  </si>
  <si>
    <t>Kapitalkostenzinssatz</t>
  </si>
  <si>
    <t>LWL-Kabel inkl Verlegung</t>
  </si>
  <si>
    <t>einmalig zum Zeitpunkt der Anfangsinvestition. (Diese Kosten werden in Folge wie die Herstellungskosten über die ND verteilt)</t>
  </si>
  <si>
    <t>Kapitalkostenzinssatz (WACC) wie oben</t>
  </si>
  <si>
    <t>Diese Kostenart könnte alternativ auch gesamthaft für alle Positionen und/oder für die gesamte Strecke ausgewiesen werden</t>
  </si>
  <si>
    <t>Nutzungsdauer (ND) in Jahren [wird möglicherweise von baulicher Infrastruktur abweichen]</t>
  </si>
  <si>
    <t>Wartung&amp;Instandhaltung</t>
  </si>
  <si>
    <t>Kalkulation Strecke Wagramer str. 19 - Heiligenstädter Lände 27C</t>
  </si>
  <si>
    <t>Akquisitionskosten p.a.</t>
  </si>
  <si>
    <t>Kostenkalkulation Standardangebot Leerrohr</t>
  </si>
  <si>
    <t>Investitionskosten exklusive Förderung</t>
  </si>
  <si>
    <t>Investitionskosten LWL ohne Förderung</t>
  </si>
  <si>
    <t>Grabungslänge Förderungsprojekt in Metern</t>
  </si>
  <si>
    <t>Kapitalkosten (WACC)</t>
  </si>
  <si>
    <t>Kostenaufteilung LWL-Kabel</t>
  </si>
  <si>
    <t xml:space="preserve">Akquisitionskosten </t>
  </si>
  <si>
    <t>Förderungsbetrag</t>
  </si>
  <si>
    <t>förderbare Investitionskosten Leerverrohrung</t>
  </si>
  <si>
    <t xml:space="preserve">Summe Investitionskosten </t>
  </si>
  <si>
    <t>Kosten / Microduct / Monat</t>
  </si>
  <si>
    <t>Kosten /  Microduct / Meter / Monat</t>
  </si>
  <si>
    <t xml:space="preserve">nicht förderbare einmalige Investitionskosten </t>
  </si>
  <si>
    <t>Investitionskosten Leerverrohrung</t>
  </si>
  <si>
    <t xml:space="preserve">Aufteilung der Investitions- und sonstigen Kosten </t>
  </si>
  <si>
    <t>Anteilige Investitionskosten Leerverrohrung und sonstige Kosten für das btr. LWL-Kabel p.a.</t>
  </si>
  <si>
    <t>Investitionskosten LWL-Kabel</t>
  </si>
  <si>
    <t>Förderbare Investitionskosten LWL</t>
  </si>
  <si>
    <t>nicht förderbare einmalige Investitionskosten LWL</t>
  </si>
  <si>
    <t>Summe Investitionskosten LWL</t>
  </si>
  <si>
    <t>Gesamte Investitionskosten Leerrohr und LWL und sonstige Kosten p.a.</t>
  </si>
  <si>
    <t>Kosten /  Faser / Monat</t>
  </si>
  <si>
    <t>Summe Investitionskosten Leerrohr und sonstige Kosten p.a.</t>
  </si>
  <si>
    <t>Kostenparameter</t>
  </si>
  <si>
    <t>Monatliche Kosten</t>
  </si>
  <si>
    <t>Sonstige laufende jährliche Kosten LWL</t>
  </si>
  <si>
    <t>Sonstige laufende jährliche Kosten Leerverrohrung</t>
  </si>
  <si>
    <t>Summe Investitionskosten LWL und sonstige Kosten p.a.</t>
  </si>
  <si>
    <t>Sonstige Kosten iZm Leerverrohrung</t>
  </si>
  <si>
    <t>Sonstige Kosten iZm LWL</t>
  </si>
  <si>
    <t>Anteilige Kosten je LWL-Faser p.a.</t>
  </si>
  <si>
    <t>Anzahl belegter Micro/Ducts (Eigennutzung, inkl Betriebsreserve)</t>
  </si>
  <si>
    <t>Anzahl bereits an Nutzungsberechtige vermieteter Micro/Ducts</t>
  </si>
  <si>
    <t xml:space="preserve">Anzahl Micro/Ducts nächste Nachfrage </t>
  </si>
  <si>
    <t>Resultierender Teiler (Micro/Ducts)</t>
  </si>
  <si>
    <t>ggf. Anzahl Kabel pro Micro/Duct</t>
  </si>
  <si>
    <t>Anzahl belegter Fasern (Eigennutzung, inkl Betriebsreserve)</t>
  </si>
  <si>
    <t>Anzahl bereits an Nutzungsberechtige vermieteter Fasern</t>
  </si>
  <si>
    <t xml:space="preserve">Faser nächste Nachfrage </t>
  </si>
  <si>
    <t>Resultierender Teiler (Fasern)</t>
  </si>
  <si>
    <t>Kosten /  Meter / Monat / Faser</t>
  </si>
  <si>
    <t>Kosten /  Meter / Monat / Faserpaar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</si>
</sst>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1"/>
    </xf>
    <xf numFmtId="9" fontId="2" fillId="0" borderId="0" xfId="3" applyFont="1" applyFill="1" applyBorder="1" applyAlignment="1">
      <alignment horizontal="left" indent="1"/>
    </xf>
    <xf numFmtId="0" fontId="0" fillId="0" borderId="0" xfId="0" applyAlignment="1">
      <alignment horizontal="left" indent="2"/>
    </xf>
    <xf numFmtId="0" fontId="6" fillId="2" borderId="0" xfId="0" applyFont="1" applyFill="1"/>
    <xf numFmtId="0" fontId="0" fillId="2" borderId="0" xfId="0" applyFill="1"/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0" borderId="0" xfId="0" applyFont="1"/>
    <xf numFmtId="0" fontId="9" fillId="0" borderId="0" xfId="0" applyFont="1" applyAlignment="1">
      <alignment horizontal="left" wrapText="1"/>
    </xf>
    <xf numFmtId="0" fontId="0" fillId="0" borderId="1" xfId="0" applyBorder="1"/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2" borderId="0" xfId="0" applyFont="1" applyFill="1"/>
    <xf numFmtId="0" fontId="4" fillId="4" borderId="0" xfId="0" applyFont="1" applyFill="1"/>
    <xf numFmtId="0" fontId="0" fillId="3" borderId="0" xfId="0" applyFill="1" applyAlignment="1">
      <alignment horizontal="left" wrapText="1"/>
    </xf>
    <xf numFmtId="43" fontId="4" fillId="3" borderId="0" xfId="1" applyFont="1" applyFill="1" applyBorder="1" applyAlignment="1">
      <alignment horizontal="left" indent="1"/>
    </xf>
    <xf numFmtId="0" fontId="4" fillId="3" borderId="0" xfId="0" applyFont="1" applyFill="1"/>
    <xf numFmtId="0" fontId="7" fillId="3" borderId="0" xfId="0" applyFont="1" applyFill="1" applyAlignment="1">
      <alignment wrapText="1"/>
    </xf>
    <xf numFmtId="43" fontId="7" fillId="3" borderId="0" xfId="0" applyNumberFormat="1" applyFont="1" applyFill="1"/>
    <xf numFmtId="9" fontId="4" fillId="3" borderId="0" xfId="3" applyFont="1" applyFill="1" applyBorder="1"/>
    <xf numFmtId="43" fontId="4" fillId="3" borderId="0" xfId="0" applyNumberFormat="1" applyFont="1" applyFill="1"/>
    <xf numFmtId="0" fontId="7" fillId="3" borderId="0" xfId="0" applyFont="1" applyFill="1" applyAlignment="1">
      <alignment horizontal="left" wrapText="1"/>
    </xf>
    <xf numFmtId="43" fontId="7" fillId="3" borderId="3" xfId="0" applyNumberFormat="1" applyFont="1" applyFill="1" applyBorder="1"/>
    <xf numFmtId="0" fontId="10" fillId="5" borderId="3" xfId="0" applyFont="1" applyFill="1" applyBorder="1"/>
    <xf numFmtId="0" fontId="10" fillId="5" borderId="3" xfId="0" applyFont="1" applyFill="1" applyBorder="1" applyAlignment="1">
      <alignment horizontal="left" wrapText="1"/>
    </xf>
    <xf numFmtId="43" fontId="7" fillId="5" borderId="3" xfId="0" applyNumberFormat="1" applyFont="1" applyFill="1" applyBorder="1"/>
    <xf numFmtId="0" fontId="0" fillId="2" borderId="0" xfId="0" applyFill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4" fillId="0" borderId="0" xfId="0" applyFont="1"/>
    <xf numFmtId="49" fontId="0" fillId="0" borderId="0" xfId="0" applyNumberFormat="1"/>
    <xf numFmtId="0" fontId="4" fillId="6" borderId="0" xfId="0" applyFont="1" applyFill="1" applyAlignment="1">
      <alignment horizontal="right"/>
    </xf>
    <xf numFmtId="0" fontId="0" fillId="6" borderId="0" xfId="0" applyFill="1" applyAlignment="1">
      <alignment horizontal="left" wrapText="1"/>
    </xf>
    <xf numFmtId="0" fontId="0" fillId="6" borderId="0" xfId="0" applyFill="1"/>
    <xf numFmtId="0" fontId="0" fillId="6" borderId="0" xfId="0" applyFill="1" applyAlignment="1">
      <alignment horizontal="left" indent="1"/>
    </xf>
    <xf numFmtId="0" fontId="10" fillId="5" borderId="0" xfId="0" applyFont="1" applyFill="1" applyAlignment="1">
      <alignment horizontal="left" wrapText="1"/>
    </xf>
    <xf numFmtId="43" fontId="7" fillId="5" borderId="0" xfId="1" applyFont="1" applyFill="1" applyBorder="1"/>
    <xf numFmtId="165" fontId="1" fillId="3" borderId="0" xfId="1" applyNumberFormat="1" applyFont="1" applyFill="1" applyBorder="1"/>
    <xf numFmtId="9" fontId="1" fillId="3" borderId="0" xfId="3" applyFont="1" applyFill="1" applyBorder="1"/>
    <xf numFmtId="43" fontId="1" fillId="3" borderId="0" xfId="0" applyNumberFormat="1" applyFont="1" applyFill="1"/>
    <xf numFmtId="0" fontId="1" fillId="0" borderId="0" xfId="0" applyFont="1"/>
    <xf numFmtId="43" fontId="0" fillId="0" borderId="0" xfId="1" applyFont="1" applyBorder="1"/>
    <xf numFmtId="43" fontId="4" fillId="0" borderId="0" xfId="1" applyFont="1" applyBorder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left"/>
    </xf>
    <xf numFmtId="43" fontId="1" fillId="3" borderId="0" xfId="1" applyFont="1" applyFill="1" applyBorder="1" applyAlignment="1">
      <alignment horizontal="left" indent="1"/>
    </xf>
    <xf numFmtId="0" fontId="0" fillId="6" borderId="0" xfId="0" applyFill="1" applyAlignment="1">
      <alignment horizontal="left"/>
    </xf>
    <xf numFmtId="4" fontId="0" fillId="6" borderId="0" xfId="0" applyNumberFormat="1" applyFill="1"/>
    <xf numFmtId="0" fontId="0" fillId="7" borderId="0" xfId="0" applyFill="1"/>
    <xf numFmtId="0" fontId="0" fillId="7" borderId="0" xfId="0" applyFill="1" applyAlignment="1">
      <alignment wrapText="1"/>
    </xf>
    <xf numFmtId="0" fontId="4" fillId="7" borderId="0" xfId="0" applyFont="1" applyFill="1"/>
    <xf numFmtId="0" fontId="0" fillId="8" borderId="0" xfId="0" applyFill="1"/>
    <xf numFmtId="0" fontId="4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4" fillId="8" borderId="0" xfId="0" applyFont="1" applyFill="1"/>
    <xf numFmtId="0" fontId="0" fillId="7" borderId="0" xfId="0" applyFill="1" applyAlignment="1">
      <alignment horizontal="left"/>
    </xf>
    <xf numFmtId="3" fontId="0" fillId="7" borderId="0" xfId="0" applyNumberFormat="1" applyFill="1"/>
    <xf numFmtId="0" fontId="10" fillId="7" borderId="0" xfId="0" applyFont="1" applyFill="1" applyAlignment="1">
      <alignment horizontal="left" wrapText="1"/>
    </xf>
    <xf numFmtId="43" fontId="7" fillId="7" borderId="0" xfId="1" applyFont="1" applyFill="1" applyBorder="1"/>
    <xf numFmtId="0" fontId="0" fillId="7" borderId="0" xfId="0" applyFill="1" applyAlignment="1">
      <alignment horizontal="left" indent="1"/>
    </xf>
    <xf numFmtId="0" fontId="0" fillId="0" borderId="0" xfId="0" applyAlignment="1">
      <alignment horizontal="right"/>
    </xf>
    <xf numFmtId="164" fontId="14" fillId="6" borderId="4" xfId="0" applyNumberFormat="1" applyFont="1" applyFill="1" applyBorder="1" applyAlignment="1">
      <alignment horizontal="right"/>
    </xf>
    <xf numFmtId="43" fontId="7" fillId="5" borderId="3" xfId="0" applyNumberFormat="1" applyFont="1" applyFill="1" applyBorder="1" applyAlignment="1">
      <alignment horizontal="right"/>
    </xf>
    <xf numFmtId="4" fontId="0" fillId="6" borderId="0" xfId="0" applyNumberFormat="1" applyFill="1" applyAlignment="1">
      <alignment horizontal="right"/>
    </xf>
    <xf numFmtId="43" fontId="4" fillId="9" borderId="4" xfId="1" applyFont="1" applyFill="1" applyBorder="1" applyAlignment="1" applyProtection="1">
      <alignment horizontal="left" indent="1"/>
      <protection locked="0"/>
    </xf>
    <xf numFmtId="9" fontId="4" fillId="9" borderId="4" xfId="0" applyNumberFormat="1" applyFont="1" applyFill="1" applyBorder="1" applyProtection="1">
      <protection locked="0"/>
    </xf>
    <xf numFmtId="10" fontId="4" fillId="9" borderId="4" xfId="0" applyNumberFormat="1" applyFont="1" applyFill="1" applyBorder="1" applyProtection="1">
      <protection locked="0"/>
    </xf>
    <xf numFmtId="165" fontId="4" fillId="9" borderId="4" xfId="1" applyNumberFormat="1" applyFont="1" applyFill="1" applyBorder="1" applyAlignment="1" applyProtection="1">
      <alignment horizontal="left" indent="1"/>
      <protection locked="0"/>
    </xf>
    <xf numFmtId="43" fontId="4" fillId="9" borderId="4" xfId="0" applyNumberFormat="1" applyFont="1" applyFill="1" applyBorder="1" applyProtection="1">
      <protection locked="0"/>
    </xf>
    <xf numFmtId="166" fontId="4" fillId="9" borderId="4" xfId="0" applyNumberFormat="1" applyFont="1" applyFill="1" applyBorder="1" applyProtection="1">
      <protection locked="0"/>
    </xf>
    <xf numFmtId="0" fontId="0" fillId="2" borderId="5" xfId="0" applyFill="1" applyBorder="1"/>
    <xf numFmtId="0" fontId="10" fillId="2" borderId="0" xfId="0" applyFont="1" applyFill="1"/>
    <xf numFmtId="166" fontId="10" fillId="2" borderId="0" xfId="0" applyNumberFormat="1" applyFont="1" applyFill="1"/>
    <xf numFmtId="0" fontId="4" fillId="7" borderId="0" xfId="0" applyFont="1" applyFill="1" applyAlignment="1">
      <alignment horizontal="right"/>
    </xf>
    <xf numFmtId="0" fontId="0" fillId="7" borderId="0" xfId="0" applyFill="1" applyAlignment="1">
      <alignment horizontal="left" wrapText="1"/>
    </xf>
    <xf numFmtId="164" fontId="0" fillId="7" borderId="4" xfId="0" applyNumberFormat="1" applyFill="1" applyBorder="1" applyAlignment="1">
      <alignment horizontal="right"/>
    </xf>
    <xf numFmtId="166" fontId="4" fillId="10" borderId="4" xfId="0" applyNumberFormat="1" applyFont="1" applyFill="1" applyBorder="1" applyProtection="1">
      <protection locked="0"/>
    </xf>
    <xf numFmtId="0" fontId="15" fillId="0" borderId="0" xfId="0" applyFont="1"/>
    <xf numFmtId="49" fontId="0" fillId="0" borderId="0" xfId="0" applyNumberFormat="1" applyAlignment="1">
      <alignment horizontal="left"/>
    </xf>
    <xf numFmtId="0" fontId="7" fillId="5" borderId="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 indent="1"/>
    </xf>
    <xf numFmtId="0" fontId="10" fillId="5" borderId="3" xfId="0" applyFont="1" applyFill="1" applyBorder="1" applyAlignment="1">
      <alignment horizontal="left" wrapText="1"/>
    </xf>
  </cellXfs>
  <cellStyles count="42"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Euro" xfId="2" xr:uid="{00000000-0005-0000-0000-000013000000}"/>
    <cellStyle name="Komma" xfId="1" builtinId="3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Prozent" xfId="3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tabSelected="1" topLeftCell="A67" zoomScalePageLayoutView="190" workbookViewId="0">
      <selection activeCell="N74" sqref="N74"/>
    </sheetView>
  </sheetViews>
  <sheetFormatPr baseColWidth="10" defaultColWidth="9.140625" defaultRowHeight="12.75" x14ac:dyDescent="0.2"/>
  <cols>
    <col min="1" max="1" width="2.28515625" customWidth="1"/>
    <col min="2" max="2" width="2.85546875" customWidth="1"/>
    <col min="3" max="3" width="54.85546875" customWidth="1"/>
    <col min="4" max="4" width="66.28515625" style="4" hidden="1" customWidth="1"/>
    <col min="5" max="5" width="32.28515625" hidden="1" customWidth="1"/>
    <col min="6" max="6" width="2.28515625" hidden="1" customWidth="1"/>
    <col min="7" max="7" width="31.140625" customWidth="1"/>
    <col min="8" max="8" width="2.42578125" customWidth="1"/>
    <col min="9" max="9" width="10.28515625" style="51" customWidth="1"/>
    <col min="10" max="10" width="10.28515625" customWidth="1"/>
    <col min="11" max="11" width="22.140625" style="40" customWidth="1"/>
  </cols>
  <sheetData>
    <row r="1" spans="1:11" ht="18" hidden="1" x14ac:dyDescent="0.25">
      <c r="A1" s="53" t="s">
        <v>17</v>
      </c>
      <c r="B1" s="54"/>
      <c r="C1" s="54"/>
      <c r="D1" s="3"/>
      <c r="E1" s="54"/>
      <c r="F1" s="54"/>
      <c r="G1" s="55"/>
      <c r="H1" s="56"/>
    </row>
    <row r="2" spans="1:11" ht="12.2" hidden="1" customHeight="1" x14ac:dyDescent="0.2">
      <c r="A2" s="19"/>
      <c r="B2" s="21"/>
      <c r="C2" s="21"/>
      <c r="D2" s="21"/>
      <c r="E2" s="20"/>
      <c r="F2" s="20"/>
      <c r="G2" s="20"/>
      <c r="I2"/>
      <c r="K2"/>
    </row>
    <row r="3" spans="1:11" ht="12.2" hidden="1" customHeight="1" x14ac:dyDescent="0.2">
      <c r="B3" s="6"/>
      <c r="I3"/>
      <c r="K3"/>
    </row>
    <row r="4" spans="1:11" ht="27.75" customHeight="1" x14ac:dyDescent="0.25">
      <c r="B4" s="6"/>
      <c r="C4" s="18" t="s">
        <v>19</v>
      </c>
      <c r="D4"/>
      <c r="F4" s="57" t="s">
        <v>19</v>
      </c>
      <c r="G4" s="58"/>
      <c r="I4"/>
      <c r="K4"/>
    </row>
    <row r="5" spans="1:11" ht="17.100000000000001" customHeight="1" x14ac:dyDescent="0.2">
      <c r="B5" s="6"/>
      <c r="C5" s="92"/>
      <c r="D5"/>
      <c r="F5" s="57"/>
      <c r="G5" s="58"/>
      <c r="I5"/>
      <c r="K5"/>
    </row>
    <row r="6" spans="1:11" ht="17.100000000000001" customHeight="1" x14ac:dyDescent="0.2">
      <c r="B6" s="6"/>
      <c r="C6" s="92"/>
      <c r="D6"/>
      <c r="F6" s="57"/>
      <c r="G6" s="58"/>
      <c r="I6"/>
      <c r="K6"/>
    </row>
    <row r="7" spans="1:11" x14ac:dyDescent="0.2">
      <c r="A7" s="39" t="s">
        <v>42</v>
      </c>
      <c r="D7" s="22" t="s">
        <v>4</v>
      </c>
      <c r="I7"/>
      <c r="K7"/>
    </row>
    <row r="8" spans="1:11" x14ac:dyDescent="0.2">
      <c r="A8" s="6"/>
      <c r="I8"/>
      <c r="K8"/>
    </row>
    <row r="9" spans="1:11" x14ac:dyDescent="0.2">
      <c r="B9" s="66"/>
      <c r="C9" s="67" t="s">
        <v>23</v>
      </c>
      <c r="D9" s="68"/>
      <c r="E9" s="66"/>
      <c r="F9" s="69"/>
      <c r="G9" s="80">
        <v>0.08</v>
      </c>
      <c r="I9"/>
      <c r="K9"/>
    </row>
    <row r="10" spans="1:11" x14ac:dyDescent="0.2">
      <c r="B10" s="66"/>
      <c r="C10" s="67" t="s">
        <v>16</v>
      </c>
      <c r="D10" s="68"/>
      <c r="E10" s="66"/>
      <c r="F10" s="69"/>
      <c r="G10" s="81">
        <v>2.5000000000000001E-2</v>
      </c>
      <c r="I10"/>
      <c r="K10"/>
    </row>
    <row r="11" spans="1:11" x14ac:dyDescent="0.2">
      <c r="B11" s="66"/>
      <c r="C11" s="67" t="s">
        <v>25</v>
      </c>
      <c r="D11" s="68"/>
      <c r="E11" s="69"/>
      <c r="F11" s="69"/>
      <c r="G11" s="81">
        <v>1.4999999999999999E-2</v>
      </c>
      <c r="I11"/>
      <c r="K11"/>
    </row>
    <row r="12" spans="1:11" x14ac:dyDescent="0.2">
      <c r="B12" s="66"/>
      <c r="C12" s="67" t="s">
        <v>22</v>
      </c>
      <c r="D12" s="68"/>
      <c r="E12" s="69"/>
      <c r="F12" s="69"/>
      <c r="G12" s="82">
        <v>33479.699999999997</v>
      </c>
      <c r="I12"/>
      <c r="K12"/>
    </row>
    <row r="13" spans="1:11" x14ac:dyDescent="0.2">
      <c r="D13"/>
      <c r="I13"/>
      <c r="K13"/>
    </row>
    <row r="14" spans="1:11" x14ac:dyDescent="0.2">
      <c r="A14" s="6" t="s">
        <v>32</v>
      </c>
      <c r="E14" s="24"/>
      <c r="I14"/>
      <c r="K14"/>
    </row>
    <row r="15" spans="1:11" x14ac:dyDescent="0.2">
      <c r="E15" s="24"/>
      <c r="I15"/>
      <c r="K15"/>
    </row>
    <row r="16" spans="1:11" x14ac:dyDescent="0.2">
      <c r="B16" s="16"/>
      <c r="C16" s="16" t="s">
        <v>27</v>
      </c>
      <c r="E16" s="24"/>
      <c r="G16" s="79">
        <v>816527</v>
      </c>
      <c r="I16"/>
      <c r="K16"/>
    </row>
    <row r="17" spans="1:11" x14ac:dyDescent="0.2">
      <c r="B17" s="16"/>
      <c r="C17" s="16" t="s">
        <v>31</v>
      </c>
      <c r="E17" s="24"/>
      <c r="G17" s="79">
        <v>0</v>
      </c>
      <c r="I17"/>
      <c r="K17"/>
    </row>
    <row r="18" spans="1:11" ht="15" customHeight="1" x14ac:dyDescent="0.2">
      <c r="B18" s="16"/>
      <c r="C18" s="16" t="s">
        <v>28</v>
      </c>
      <c r="D18" s="25" t="s">
        <v>2</v>
      </c>
      <c r="E18" s="26">
        <v>450000</v>
      </c>
      <c r="F18" s="1"/>
      <c r="G18" s="60">
        <f>SUM(G16:G17)</f>
        <v>816527</v>
      </c>
      <c r="H18" s="4"/>
      <c r="I18"/>
      <c r="K18"/>
    </row>
    <row r="19" spans="1:11" ht="15" customHeight="1" x14ac:dyDescent="0.2">
      <c r="B19" s="16"/>
      <c r="C19" s="16" t="s">
        <v>26</v>
      </c>
      <c r="D19" s="25"/>
      <c r="E19" s="26"/>
      <c r="F19" s="1"/>
      <c r="G19" s="79">
        <f>G16*0.65</f>
        <v>530742.55000000005</v>
      </c>
      <c r="H19" s="4"/>
      <c r="I19"/>
      <c r="K19"/>
    </row>
    <row r="20" spans="1:11" ht="15" customHeight="1" x14ac:dyDescent="0.2">
      <c r="B20" s="16"/>
      <c r="C20" s="16" t="s">
        <v>20</v>
      </c>
      <c r="D20" s="25"/>
      <c r="E20" s="26"/>
      <c r="F20" s="1"/>
      <c r="G20" s="60">
        <f>G18-G19</f>
        <v>285784.44999999995</v>
      </c>
      <c r="H20" s="4"/>
      <c r="I20"/>
      <c r="K20"/>
    </row>
    <row r="21" spans="1:11" ht="15" customHeight="1" x14ac:dyDescent="0.2">
      <c r="B21" s="16"/>
      <c r="C21" s="16" t="s">
        <v>6</v>
      </c>
      <c r="D21" s="25" t="s">
        <v>1</v>
      </c>
      <c r="E21" s="27">
        <v>30</v>
      </c>
      <c r="F21" s="1"/>
      <c r="G21" s="47">
        <v>30</v>
      </c>
      <c r="I21"/>
      <c r="K21"/>
    </row>
    <row r="22" spans="1:11" ht="15" customHeight="1" x14ac:dyDescent="0.2">
      <c r="B22" s="16"/>
      <c r="C22" s="17" t="s">
        <v>7</v>
      </c>
      <c r="D22" s="28" t="s">
        <v>8</v>
      </c>
      <c r="E22" s="29">
        <f>E18/E21</f>
        <v>15000</v>
      </c>
      <c r="F22" s="1"/>
      <c r="G22" s="29">
        <f>G20/G21</f>
        <v>9526.1483333333326</v>
      </c>
      <c r="I22"/>
      <c r="K22"/>
    </row>
    <row r="23" spans="1:11" ht="15" customHeight="1" x14ac:dyDescent="0.2">
      <c r="B23" s="16"/>
      <c r="C23" s="16" t="s">
        <v>10</v>
      </c>
      <c r="D23" s="25" t="s">
        <v>3</v>
      </c>
      <c r="E23" s="30">
        <v>0.1</v>
      </c>
      <c r="F23" s="1"/>
      <c r="G23" s="48">
        <f>G9</f>
        <v>0.08</v>
      </c>
      <c r="I23"/>
      <c r="K23"/>
    </row>
    <row r="24" spans="1:11" ht="15" customHeight="1" x14ac:dyDescent="0.2">
      <c r="B24" s="16"/>
      <c r="C24" s="17" t="s">
        <v>9</v>
      </c>
      <c r="D24" s="28" t="s">
        <v>8</v>
      </c>
      <c r="E24" s="29">
        <f>E18/2*E23</f>
        <v>22500</v>
      </c>
      <c r="F24" s="1"/>
      <c r="G24" s="29">
        <f>G20/2*G23</f>
        <v>11431.377999999999</v>
      </c>
      <c r="I24"/>
      <c r="K24"/>
    </row>
    <row r="25" spans="1:11" ht="15" customHeight="1" x14ac:dyDescent="0.2">
      <c r="B25" s="16"/>
      <c r="C25" s="16" t="s">
        <v>5</v>
      </c>
      <c r="D25" s="25" t="s">
        <v>14</v>
      </c>
      <c r="E25" s="31">
        <v>10080</v>
      </c>
      <c r="F25" s="1"/>
      <c r="G25" s="49">
        <f>G18*$G$10</f>
        <v>20413.175000000003</v>
      </c>
      <c r="I25"/>
      <c r="K25"/>
    </row>
    <row r="26" spans="1:11" ht="15" customHeight="1" x14ac:dyDescent="0.2">
      <c r="B26" s="16"/>
      <c r="C26" s="16" t="s">
        <v>18</v>
      </c>
      <c r="D26" s="25" t="s">
        <v>12</v>
      </c>
      <c r="E26" s="31">
        <v>225</v>
      </c>
      <c r="F26" s="1"/>
      <c r="G26" s="49">
        <f>G18/G21*$G$11</f>
        <v>408.26349999999996</v>
      </c>
      <c r="I26"/>
      <c r="K26"/>
    </row>
    <row r="27" spans="1:11" ht="13.5" thickBot="1" x14ac:dyDescent="0.25">
      <c r="B27" s="16"/>
      <c r="C27" s="33" t="s">
        <v>0</v>
      </c>
      <c r="D27" s="32"/>
      <c r="E27" s="33">
        <f>E22+E24+E25+E26</f>
        <v>47805</v>
      </c>
      <c r="F27" s="1"/>
      <c r="G27" s="33">
        <f>G22+G24+G25+G26</f>
        <v>41778.964833333332</v>
      </c>
      <c r="I27"/>
      <c r="K27"/>
    </row>
    <row r="28" spans="1:11" ht="13.5" thickTop="1" x14ac:dyDescent="0.2">
      <c r="B28" s="16"/>
      <c r="C28" s="29"/>
      <c r="D28" s="32"/>
      <c r="E28" s="29"/>
      <c r="F28" s="1"/>
      <c r="G28" s="29"/>
      <c r="I28"/>
      <c r="K28"/>
    </row>
    <row r="29" spans="1:11" x14ac:dyDescent="0.2">
      <c r="D29"/>
      <c r="I29"/>
      <c r="K29"/>
    </row>
    <row r="30" spans="1:11" ht="12.95" customHeight="1" x14ac:dyDescent="0.2">
      <c r="A30" s="6" t="s">
        <v>47</v>
      </c>
      <c r="D30" s="3"/>
      <c r="F30" s="1"/>
      <c r="I30"/>
      <c r="K30"/>
    </row>
    <row r="31" spans="1:11" ht="12.95" customHeight="1" x14ac:dyDescent="0.2">
      <c r="D31" s="3"/>
      <c r="F31" s="1"/>
      <c r="I31"/>
      <c r="K31"/>
    </row>
    <row r="32" spans="1:11" ht="12.95" customHeight="1" x14ac:dyDescent="0.2">
      <c r="B32" s="29"/>
      <c r="C32" s="29" t="s">
        <v>45</v>
      </c>
      <c r="D32" s="29"/>
      <c r="E32" s="29"/>
      <c r="F32" s="29"/>
      <c r="G32" s="83">
        <v>2109.6</v>
      </c>
      <c r="I32"/>
      <c r="K32"/>
    </row>
    <row r="33" spans="2:11" ht="12.95" customHeight="1" x14ac:dyDescent="0.2">
      <c r="D33" s="3"/>
      <c r="F33" s="1"/>
      <c r="I33"/>
      <c r="K33"/>
    </row>
    <row r="34" spans="2:11" ht="12.95" customHeight="1" thickBot="1" x14ac:dyDescent="0.25">
      <c r="B34" s="34" t="s">
        <v>41</v>
      </c>
      <c r="C34" s="34"/>
      <c r="D34" s="3"/>
      <c r="F34" s="1"/>
      <c r="G34" s="36">
        <f>SUM(G32+G27)</f>
        <v>43888.56483333333</v>
      </c>
      <c r="I34"/>
      <c r="K34"/>
    </row>
    <row r="35" spans="2:11" ht="13.5" thickTop="1" x14ac:dyDescent="0.2">
      <c r="D35" s="3"/>
      <c r="F35" s="1"/>
      <c r="I35"/>
      <c r="K35"/>
    </row>
    <row r="36" spans="2:11" x14ac:dyDescent="0.2">
      <c r="B36" s="13" t="s">
        <v>33</v>
      </c>
      <c r="C36" s="14"/>
      <c r="D36" s="37"/>
      <c r="E36" s="14"/>
      <c r="F36" s="1"/>
      <c r="G36" s="14"/>
      <c r="I36"/>
      <c r="K36"/>
    </row>
    <row r="37" spans="2:11" x14ac:dyDescent="0.2">
      <c r="B37" s="14"/>
      <c r="C37" s="14" t="s">
        <v>50</v>
      </c>
      <c r="D37" s="37"/>
      <c r="E37" s="23">
        <v>6</v>
      </c>
      <c r="F37" s="1"/>
      <c r="G37" s="84">
        <v>1</v>
      </c>
      <c r="I37"/>
      <c r="K37"/>
    </row>
    <row r="38" spans="2:11" ht="12.2" customHeight="1" x14ac:dyDescent="0.2">
      <c r="B38" s="14"/>
      <c r="C38" s="14" t="s">
        <v>51</v>
      </c>
      <c r="D38" s="37"/>
      <c r="E38" s="23"/>
      <c r="F38" s="1"/>
      <c r="G38" s="84">
        <v>0</v>
      </c>
      <c r="I38"/>
      <c r="K38"/>
    </row>
    <row r="39" spans="2:11" x14ac:dyDescent="0.2">
      <c r="B39" s="14"/>
      <c r="C39" s="14" t="s">
        <v>52</v>
      </c>
      <c r="D39" s="37"/>
      <c r="E39" s="23">
        <v>2</v>
      </c>
      <c r="F39" s="1"/>
      <c r="G39" s="85">
        <f>IF(G41=0,1,0)</f>
        <v>0</v>
      </c>
      <c r="I39"/>
      <c r="K39"/>
    </row>
    <row r="40" spans="2:11" x14ac:dyDescent="0.2">
      <c r="B40" s="14"/>
      <c r="C40" s="86" t="s">
        <v>53</v>
      </c>
      <c r="D40" s="37"/>
      <c r="E40" s="23"/>
      <c r="F40" s="1"/>
      <c r="G40" s="23">
        <f>IF(SUM(G37:G39)&lt;&gt;0,SUM(G37:G39),1)</f>
        <v>1</v>
      </c>
      <c r="I40"/>
      <c r="K40"/>
    </row>
    <row r="41" spans="2:11" x14ac:dyDescent="0.2">
      <c r="B41" s="14"/>
      <c r="C41" s="14" t="s">
        <v>54</v>
      </c>
      <c r="D41" s="37"/>
      <c r="E41" s="23">
        <v>2</v>
      </c>
      <c r="F41" s="1"/>
      <c r="G41" s="91">
        <v>1</v>
      </c>
      <c r="I41"/>
      <c r="K41"/>
    </row>
    <row r="43" spans="2:11" x14ac:dyDescent="0.2">
      <c r="D43" s="3"/>
      <c r="F43" s="1"/>
      <c r="G43" s="75"/>
      <c r="I43"/>
      <c r="K43"/>
    </row>
    <row r="44" spans="2:11" ht="26.45" customHeight="1" thickBot="1" x14ac:dyDescent="0.25">
      <c r="B44" s="96" t="s">
        <v>34</v>
      </c>
      <c r="C44" s="96"/>
      <c r="D44" s="38"/>
      <c r="E44" s="36" t="e">
        <f>#REF!/(E37+E39)/E41</f>
        <v>#REF!</v>
      </c>
      <c r="F44" s="1"/>
      <c r="G44" s="36">
        <f>IF(G41&gt;0,(G34/G40/G41), G34/G40)</f>
        <v>43888.56483333333</v>
      </c>
    </row>
    <row r="45" spans="2:11" ht="12.95" hidden="1" customHeight="1" thickTop="1" x14ac:dyDescent="0.2">
      <c r="B45" s="45"/>
      <c r="C45" s="45"/>
      <c r="D45" s="45"/>
      <c r="E45" s="46"/>
      <c r="F45" s="1"/>
      <c r="G45" s="46"/>
      <c r="I45"/>
      <c r="K45"/>
    </row>
    <row r="46" spans="2:11" ht="12.95" hidden="1" customHeight="1" thickTop="1" x14ac:dyDescent="0.2">
      <c r="B46" s="45"/>
      <c r="C46" s="45"/>
      <c r="D46" s="45"/>
      <c r="E46" s="46"/>
      <c r="F46" s="1"/>
      <c r="G46" s="46"/>
      <c r="I46"/>
      <c r="K46"/>
    </row>
    <row r="47" spans="2:11" ht="12.95" hidden="1" customHeight="1" thickTop="1" x14ac:dyDescent="0.2">
      <c r="B47" s="45"/>
      <c r="C47" s="45"/>
      <c r="D47" s="45"/>
      <c r="E47" s="46"/>
      <c r="F47" s="1"/>
      <c r="G47" s="46"/>
      <c r="I47"/>
      <c r="K47"/>
    </row>
    <row r="48" spans="2:11" ht="12.95" customHeight="1" thickTop="1" x14ac:dyDescent="0.2">
      <c r="D48"/>
      <c r="I48"/>
      <c r="K48"/>
    </row>
    <row r="49" spans="1:11" ht="12.95" customHeight="1" x14ac:dyDescent="0.2">
      <c r="A49" s="6" t="s">
        <v>43</v>
      </c>
      <c r="D49" s="3"/>
      <c r="F49" s="1"/>
      <c r="I49"/>
      <c r="K49"/>
    </row>
    <row r="50" spans="1:11" ht="12.95" customHeight="1" x14ac:dyDescent="0.2">
      <c r="B50" s="41"/>
      <c r="C50" s="59" t="s">
        <v>29</v>
      </c>
      <c r="D50" s="45"/>
      <c r="E50" s="46"/>
      <c r="F50" s="1"/>
      <c r="G50" s="78" t="str">
        <f>IF(G41=0,(G44/12), "(im LWL-Preis enthalten)")</f>
        <v>(im LWL-Preis enthalten)</v>
      </c>
      <c r="I50"/>
      <c r="K50"/>
    </row>
    <row r="51" spans="1:11" ht="12.95" customHeight="1" x14ac:dyDescent="0.2">
      <c r="B51" s="63"/>
      <c r="C51" s="70" t="s">
        <v>22</v>
      </c>
      <c r="D51" s="72"/>
      <c r="E51" s="73"/>
      <c r="F51" s="74"/>
      <c r="G51">
        <f>G12</f>
        <v>33479.699999999997</v>
      </c>
      <c r="I51"/>
      <c r="K51"/>
    </row>
    <row r="52" spans="1:11" ht="17.100000000000001" customHeight="1" x14ac:dyDescent="0.25">
      <c r="B52" s="41"/>
      <c r="C52" s="59" t="s">
        <v>30</v>
      </c>
      <c r="D52" s="45"/>
      <c r="E52" s="46"/>
      <c r="F52" s="1"/>
      <c r="G52" s="76" t="str">
        <f>IF(G41=0,(G50/G51), "(im LWL-Preis enthalten)")</f>
        <v>(im LWL-Preis enthalten)</v>
      </c>
      <c r="I52"/>
      <c r="K52"/>
    </row>
    <row r="53" spans="1:11" x14ac:dyDescent="0.2">
      <c r="D53" s="3"/>
      <c r="F53" s="1"/>
      <c r="I53"/>
      <c r="K53"/>
    </row>
    <row r="54" spans="1:11" ht="12.2" hidden="1" customHeight="1" x14ac:dyDescent="0.2">
      <c r="D54" s="3"/>
      <c r="F54" s="1"/>
      <c r="I54"/>
      <c r="K54"/>
    </row>
    <row r="55" spans="1:11" ht="12.75" customHeight="1" x14ac:dyDescent="0.2">
      <c r="A55" s="6" t="s">
        <v>35</v>
      </c>
      <c r="D55" s="3"/>
      <c r="F55" s="1"/>
      <c r="I55"/>
      <c r="K55"/>
    </row>
    <row r="56" spans="1:11" x14ac:dyDescent="0.2">
      <c r="A56" s="6"/>
      <c r="D56" s="3"/>
      <c r="F56" s="1"/>
      <c r="I56"/>
      <c r="K56"/>
    </row>
    <row r="57" spans="1:11" ht="12.75" customHeight="1" x14ac:dyDescent="0.2">
      <c r="B57" s="15" t="s">
        <v>11</v>
      </c>
      <c r="C57" s="16"/>
      <c r="D57" s="25"/>
      <c r="E57" s="16"/>
      <c r="F57" s="1"/>
      <c r="G57" s="16"/>
      <c r="I57"/>
      <c r="K57"/>
    </row>
    <row r="58" spans="1:11" ht="15" customHeight="1" x14ac:dyDescent="0.2">
      <c r="B58" s="15"/>
      <c r="C58" s="16" t="s">
        <v>36</v>
      </c>
      <c r="D58" s="25" t="s">
        <v>2</v>
      </c>
      <c r="E58" s="26">
        <v>12500</v>
      </c>
      <c r="F58" s="1"/>
      <c r="G58" s="79">
        <v>239545</v>
      </c>
      <c r="I58"/>
      <c r="K58"/>
    </row>
    <row r="59" spans="1:11" ht="15" customHeight="1" x14ac:dyDescent="0.2">
      <c r="B59" s="15"/>
      <c r="C59" s="16" t="s">
        <v>37</v>
      </c>
      <c r="D59" s="25"/>
      <c r="E59" s="26"/>
      <c r="F59" s="1"/>
      <c r="G59" s="79">
        <v>0</v>
      </c>
      <c r="I59"/>
      <c r="K59"/>
    </row>
    <row r="60" spans="1:11" ht="15" customHeight="1" x14ac:dyDescent="0.2">
      <c r="B60" s="15"/>
      <c r="C60" s="16" t="s">
        <v>38</v>
      </c>
      <c r="D60" s="25"/>
      <c r="E60" s="26"/>
      <c r="F60" s="1"/>
      <c r="G60" s="60">
        <f>SUM(G58:G59)</f>
        <v>239545</v>
      </c>
      <c r="I60"/>
      <c r="K60"/>
    </row>
    <row r="61" spans="1:11" ht="15" customHeight="1" x14ac:dyDescent="0.2">
      <c r="B61" s="15"/>
      <c r="C61" s="16" t="s">
        <v>26</v>
      </c>
      <c r="D61" s="25"/>
      <c r="E61" s="26"/>
      <c r="F61" s="1"/>
      <c r="G61" s="79">
        <f>G58*0.65</f>
        <v>155704.25</v>
      </c>
      <c r="I61"/>
      <c r="K61"/>
    </row>
    <row r="62" spans="1:11" ht="15" customHeight="1" x14ac:dyDescent="0.2">
      <c r="B62" s="15"/>
      <c r="C62" s="16" t="s">
        <v>21</v>
      </c>
      <c r="D62" s="25"/>
      <c r="E62" s="16"/>
      <c r="F62" s="1"/>
      <c r="G62" s="60">
        <f>G60-G61</f>
        <v>83840.75</v>
      </c>
      <c r="I62"/>
      <c r="K62"/>
    </row>
    <row r="63" spans="1:11" ht="15" customHeight="1" x14ac:dyDescent="0.2">
      <c r="B63" s="15"/>
      <c r="C63" s="16" t="s">
        <v>6</v>
      </c>
      <c r="D63" s="25" t="s">
        <v>15</v>
      </c>
      <c r="E63" s="27">
        <v>20</v>
      </c>
      <c r="F63" s="1"/>
      <c r="G63" s="47">
        <v>20</v>
      </c>
      <c r="H63" s="50"/>
      <c r="I63"/>
      <c r="K63"/>
    </row>
    <row r="64" spans="1:11" ht="15" customHeight="1" x14ac:dyDescent="0.2">
      <c r="B64" s="15"/>
      <c r="C64" s="17" t="s">
        <v>7</v>
      </c>
      <c r="D64" s="28" t="s">
        <v>8</v>
      </c>
      <c r="E64" s="29">
        <f>E58/E63</f>
        <v>625</v>
      </c>
      <c r="F64" s="1"/>
      <c r="G64" s="29">
        <f>G62/G63</f>
        <v>4192.0375000000004</v>
      </c>
      <c r="H64" s="50"/>
      <c r="I64"/>
      <c r="K64"/>
    </row>
    <row r="65" spans="1:11" ht="15" customHeight="1" x14ac:dyDescent="0.2">
      <c r="B65" s="15"/>
      <c r="C65" s="16" t="s">
        <v>10</v>
      </c>
      <c r="D65" s="25" t="s">
        <v>13</v>
      </c>
      <c r="E65" s="48">
        <f>E23</f>
        <v>0.1</v>
      </c>
      <c r="F65" s="1"/>
      <c r="G65" s="48">
        <f>G23</f>
        <v>0.08</v>
      </c>
      <c r="I65"/>
      <c r="K65"/>
    </row>
    <row r="66" spans="1:11" ht="15" customHeight="1" x14ac:dyDescent="0.2">
      <c r="B66" s="15"/>
      <c r="C66" s="17" t="s">
        <v>9</v>
      </c>
      <c r="D66" s="28" t="s">
        <v>8</v>
      </c>
      <c r="E66" s="29">
        <f>E58/2*E65</f>
        <v>625</v>
      </c>
      <c r="F66" s="1"/>
      <c r="G66" s="29">
        <f>G62/2*G65</f>
        <v>3353.63</v>
      </c>
      <c r="I66"/>
      <c r="K66"/>
    </row>
    <row r="67" spans="1:11" ht="15" customHeight="1" x14ac:dyDescent="0.2">
      <c r="B67" s="15"/>
      <c r="C67" s="16" t="s">
        <v>5</v>
      </c>
      <c r="D67" s="25"/>
      <c r="E67" s="31">
        <v>280</v>
      </c>
      <c r="F67" s="1"/>
      <c r="G67" s="49">
        <f>G58*$G$10</f>
        <v>5988.625</v>
      </c>
      <c r="I67"/>
      <c r="K67"/>
    </row>
    <row r="68" spans="1:11" ht="13.5" thickBot="1" x14ac:dyDescent="0.25">
      <c r="B68" s="15"/>
      <c r="C68" s="33" t="s">
        <v>0</v>
      </c>
      <c r="D68" s="32"/>
      <c r="E68" s="33">
        <f>E64+E66+E67</f>
        <v>1530</v>
      </c>
      <c r="F68" s="1"/>
      <c r="G68" s="33">
        <f>G64+G66+G67</f>
        <v>13534.2925</v>
      </c>
      <c r="I68"/>
      <c r="K68"/>
    </row>
    <row r="69" spans="1:11" ht="13.5" thickTop="1" x14ac:dyDescent="0.2">
      <c r="D69"/>
      <c r="I69"/>
      <c r="K69"/>
    </row>
    <row r="70" spans="1:11" ht="12.95" customHeight="1" x14ac:dyDescent="0.2">
      <c r="A70" s="6" t="s">
        <v>48</v>
      </c>
      <c r="D70" s="3"/>
      <c r="F70" s="1"/>
      <c r="I70"/>
      <c r="K70"/>
    </row>
    <row r="71" spans="1:11" ht="12.95" customHeight="1" x14ac:dyDescent="0.2">
      <c r="D71" s="3"/>
      <c r="F71" s="1"/>
      <c r="I71"/>
      <c r="K71"/>
    </row>
    <row r="72" spans="1:11" ht="12.95" customHeight="1" x14ac:dyDescent="0.2">
      <c r="B72" s="29"/>
      <c r="C72" s="29" t="s">
        <v>44</v>
      </c>
      <c r="D72" s="29"/>
      <c r="E72" s="29"/>
      <c r="F72" s="29"/>
      <c r="G72" s="83">
        <v>0</v>
      </c>
      <c r="I72"/>
      <c r="K72"/>
    </row>
    <row r="73" spans="1:11" ht="12.95" customHeight="1" x14ac:dyDescent="0.2">
      <c r="D73" s="3"/>
      <c r="F73" s="1"/>
      <c r="I73"/>
      <c r="K73"/>
    </row>
    <row r="74" spans="1:11" ht="12.95" customHeight="1" thickBot="1" x14ac:dyDescent="0.25">
      <c r="B74" s="34" t="s">
        <v>46</v>
      </c>
      <c r="C74" s="34"/>
      <c r="D74" s="3"/>
      <c r="F74" s="1"/>
      <c r="G74" s="36">
        <f>SUM(G72+G68)</f>
        <v>13534.2925</v>
      </c>
      <c r="I74"/>
      <c r="K74"/>
    </row>
    <row r="75" spans="1:11" ht="13.5" thickTop="1" x14ac:dyDescent="0.2">
      <c r="B75" s="5"/>
      <c r="D75" s="3"/>
      <c r="F75" s="1"/>
      <c r="I75"/>
      <c r="K75"/>
    </row>
    <row r="76" spans="1:11" ht="27" customHeight="1" thickBot="1" x14ac:dyDescent="0.25">
      <c r="B76" s="96" t="s">
        <v>39</v>
      </c>
      <c r="C76" s="96"/>
      <c r="D76" s="35"/>
      <c r="E76" s="36" t="e">
        <f>E44+E68</f>
        <v>#REF!</v>
      </c>
      <c r="F76" s="1"/>
      <c r="G76" s="77">
        <f>IF($G$41=0,"Kein LWL nachgefragt",(G44+G74))</f>
        <v>57422.857333333333</v>
      </c>
      <c r="I76"/>
      <c r="K76"/>
    </row>
    <row r="77" spans="1:11" ht="13.5" thickTop="1" x14ac:dyDescent="0.2">
      <c r="B77" s="5"/>
      <c r="D77" s="3"/>
      <c r="F77" s="1"/>
    </row>
    <row r="78" spans="1:11" ht="12.75" customHeight="1" x14ac:dyDescent="0.2">
      <c r="B78" s="13" t="s">
        <v>24</v>
      </c>
      <c r="C78" s="14"/>
      <c r="D78" s="37"/>
      <c r="E78" s="14"/>
      <c r="F78" s="1"/>
      <c r="G78" s="14"/>
    </row>
    <row r="79" spans="1:11" x14ac:dyDescent="0.2">
      <c r="B79" s="14"/>
      <c r="C79" s="14" t="s">
        <v>55</v>
      </c>
      <c r="D79" s="37"/>
      <c r="E79" s="23">
        <v>12</v>
      </c>
      <c r="F79" s="1"/>
      <c r="G79" s="84">
        <v>2</v>
      </c>
      <c r="K79" s="93"/>
    </row>
    <row r="80" spans="1:11" x14ac:dyDescent="0.2">
      <c r="B80" s="14"/>
      <c r="C80" s="14" t="s">
        <v>56</v>
      </c>
      <c r="D80" s="37"/>
      <c r="E80" s="23">
        <v>12</v>
      </c>
      <c r="F80" s="1"/>
      <c r="G80" s="84">
        <v>0</v>
      </c>
      <c r="K80" s="93"/>
    </row>
    <row r="81" spans="1:11" x14ac:dyDescent="0.2">
      <c r="B81" s="14"/>
      <c r="C81" s="14" t="s">
        <v>57</v>
      </c>
      <c r="D81" s="37"/>
      <c r="E81" s="23">
        <v>2</v>
      </c>
      <c r="F81" s="1"/>
      <c r="G81" s="85">
        <v>2</v>
      </c>
      <c r="I81"/>
      <c r="K81"/>
    </row>
    <row r="82" spans="1:11" x14ac:dyDescent="0.2">
      <c r="B82" s="14"/>
      <c r="C82" s="86" t="s">
        <v>58</v>
      </c>
      <c r="D82" s="37"/>
      <c r="E82" s="23"/>
      <c r="F82" s="1"/>
      <c r="G82" s="87">
        <f>SUM(G79:G81)</f>
        <v>4</v>
      </c>
      <c r="I82"/>
      <c r="K82"/>
    </row>
    <row r="83" spans="1:11" x14ac:dyDescent="0.2">
      <c r="B83" s="5"/>
      <c r="D83" s="3"/>
      <c r="F83" s="1"/>
    </row>
    <row r="84" spans="1:11" ht="27" customHeight="1" thickBot="1" x14ac:dyDescent="0.25">
      <c r="B84" s="94" t="s">
        <v>49</v>
      </c>
      <c r="C84" s="94"/>
      <c r="D84" s="36"/>
      <c r="E84" s="36" t="e">
        <f>E76/E82</f>
        <v>#REF!</v>
      </c>
      <c r="F84" s="36"/>
      <c r="G84" s="77">
        <f>IF($G$41=0,"Kein LWL nachgefragt",(G76/G82))</f>
        <v>14355.714333333333</v>
      </c>
    </row>
    <row r="85" spans="1:11" ht="13.5" thickTop="1" x14ac:dyDescent="0.2">
      <c r="B85" s="5"/>
      <c r="D85" s="3"/>
      <c r="F85" s="1"/>
      <c r="I85" s="52"/>
    </row>
    <row r="86" spans="1:11" hidden="1" x14ac:dyDescent="0.2">
      <c r="B86" s="5"/>
      <c r="D86" s="3"/>
      <c r="F86" s="1"/>
    </row>
    <row r="87" spans="1:11" x14ac:dyDescent="0.2">
      <c r="A87" s="6" t="s">
        <v>43</v>
      </c>
    </row>
    <row r="88" spans="1:11" hidden="1" x14ac:dyDescent="0.2">
      <c r="B88" s="41"/>
      <c r="C88" s="61" t="s">
        <v>40</v>
      </c>
      <c r="D88" s="42"/>
      <c r="E88" s="43"/>
      <c r="F88" s="44"/>
      <c r="G88" s="62">
        <f>IF($G$41=0,"Kein Kabel im Duct",(G84/12))</f>
        <v>1196.3095277777777</v>
      </c>
      <c r="H88" s="39"/>
      <c r="I88" s="52"/>
      <c r="J88" s="39"/>
    </row>
    <row r="89" spans="1:11" x14ac:dyDescent="0.2">
      <c r="A89" s="6"/>
      <c r="B89" s="63"/>
      <c r="C89" s="70" t="s">
        <v>22</v>
      </c>
      <c r="D89" s="64"/>
      <c r="E89" s="65"/>
      <c r="F89" s="63"/>
      <c r="G89" s="71">
        <f>G12</f>
        <v>33479.699999999997</v>
      </c>
      <c r="I89"/>
      <c r="K89"/>
    </row>
    <row r="90" spans="1:11" x14ac:dyDescent="0.2">
      <c r="B90" s="88"/>
      <c r="C90" s="70" t="s">
        <v>59</v>
      </c>
      <c r="D90" s="89"/>
      <c r="E90" s="63"/>
      <c r="F90" s="74"/>
      <c r="G90" s="90">
        <f>IF($G$41=0,"Kein LWL nachgefragt",(G88/G89))</f>
        <v>3.5732384931100869E-2</v>
      </c>
    </row>
    <row r="91" spans="1:11" ht="15.75" x14ac:dyDescent="0.25">
      <c r="B91" s="41"/>
      <c r="C91" s="61" t="s">
        <v>60</v>
      </c>
      <c r="D91" s="42"/>
      <c r="E91" s="43"/>
      <c r="F91" s="44"/>
      <c r="G91" s="76">
        <f>IF($G$41=0,"Kein LWL nachgefragt",G90*G81)</f>
        <v>7.1464769862201738E-2</v>
      </c>
    </row>
    <row r="92" spans="1:11" x14ac:dyDescent="0.2">
      <c r="D92" s="3"/>
      <c r="F92" s="1"/>
    </row>
    <row r="93" spans="1:11" x14ac:dyDescent="0.2">
      <c r="D93" s="3"/>
      <c r="F93" s="1"/>
    </row>
    <row r="94" spans="1:11" x14ac:dyDescent="0.2">
      <c r="B94" s="5"/>
      <c r="D94" s="95"/>
      <c r="F94" s="2"/>
    </row>
    <row r="95" spans="1:11" x14ac:dyDescent="0.2">
      <c r="A95" s="7"/>
      <c r="B95" s="7"/>
      <c r="C95" s="8"/>
      <c r="D95" s="95"/>
      <c r="F95" s="2"/>
    </row>
    <row r="96" spans="1:11" x14ac:dyDescent="0.2">
      <c r="A96" s="7"/>
      <c r="B96" s="7"/>
      <c r="C96" s="8"/>
      <c r="D96" s="9"/>
      <c r="F96" s="10"/>
    </row>
    <row r="97" spans="1:6" x14ac:dyDescent="0.2">
      <c r="A97" s="7"/>
      <c r="B97" s="7"/>
      <c r="C97" s="8"/>
      <c r="D97" s="9"/>
      <c r="F97" s="11"/>
    </row>
    <row r="98" spans="1:6" x14ac:dyDescent="0.2">
      <c r="A98" s="7"/>
      <c r="B98" s="7"/>
      <c r="C98" s="8"/>
      <c r="D98" s="9"/>
      <c r="F98" s="11"/>
    </row>
    <row r="99" spans="1:6" x14ac:dyDescent="0.2">
      <c r="A99" s="7"/>
      <c r="B99" s="7"/>
      <c r="C99" s="8"/>
      <c r="D99" s="9"/>
      <c r="F99" s="11"/>
    </row>
    <row r="100" spans="1:6" x14ac:dyDescent="0.2">
      <c r="A100" s="7"/>
      <c r="B100" s="7"/>
      <c r="C100" s="8"/>
      <c r="D100" s="9"/>
      <c r="F100" s="11"/>
    </row>
    <row r="101" spans="1:6" x14ac:dyDescent="0.2">
      <c r="B101" s="6"/>
      <c r="D101" s="3"/>
      <c r="F101" s="1"/>
    </row>
    <row r="102" spans="1:6" x14ac:dyDescent="0.2">
      <c r="D102" s="3"/>
      <c r="F102" s="1"/>
    </row>
    <row r="103" spans="1:6" x14ac:dyDescent="0.2">
      <c r="D103" s="3"/>
      <c r="F103" s="1"/>
    </row>
    <row r="104" spans="1:6" x14ac:dyDescent="0.2">
      <c r="D104" s="3"/>
      <c r="F104" s="1"/>
    </row>
    <row r="105" spans="1:6" x14ac:dyDescent="0.2">
      <c r="C105" s="8"/>
      <c r="D105" s="3"/>
      <c r="F105" s="1"/>
    </row>
    <row r="106" spans="1:6" x14ac:dyDescent="0.2">
      <c r="D106" s="3"/>
      <c r="F106" s="1"/>
    </row>
    <row r="107" spans="1:6" x14ac:dyDescent="0.2">
      <c r="D107" s="3"/>
      <c r="F107" s="1"/>
    </row>
    <row r="108" spans="1:6" x14ac:dyDescent="0.2">
      <c r="D108" s="3"/>
      <c r="F108" s="1"/>
    </row>
    <row r="109" spans="1:6" x14ac:dyDescent="0.2">
      <c r="C109" s="8"/>
      <c r="D109" s="3"/>
      <c r="F109" s="1"/>
    </row>
    <row r="110" spans="1:6" x14ac:dyDescent="0.2">
      <c r="D110" s="3"/>
      <c r="F110" s="12"/>
    </row>
    <row r="111" spans="1:6" x14ac:dyDescent="0.2">
      <c r="D111" s="3"/>
      <c r="F111" s="12"/>
    </row>
    <row r="112" spans="1:6" x14ac:dyDescent="0.2">
      <c r="D112" s="3"/>
      <c r="F112" s="12"/>
    </row>
    <row r="113" spans="4:6" x14ac:dyDescent="0.2">
      <c r="D113" s="3"/>
      <c r="F113" s="12"/>
    </row>
    <row r="114" spans="4:6" x14ac:dyDescent="0.2">
      <c r="D114" s="3"/>
      <c r="F114" s="12"/>
    </row>
    <row r="115" spans="4:6" x14ac:dyDescent="0.2">
      <c r="D115" s="2"/>
      <c r="F115" s="2"/>
    </row>
    <row r="116" spans="4:6" x14ac:dyDescent="0.2">
      <c r="D116" s="2"/>
      <c r="F116" s="2"/>
    </row>
    <row r="117" spans="4:6" x14ac:dyDescent="0.2">
      <c r="D117" s="2"/>
      <c r="F117" s="2"/>
    </row>
    <row r="118" spans="4:6" x14ac:dyDescent="0.2">
      <c r="D118" s="3"/>
    </row>
    <row r="119" spans="4:6" x14ac:dyDescent="0.2">
      <c r="D119" s="3"/>
    </row>
    <row r="120" spans="4:6" x14ac:dyDescent="0.2">
      <c r="D120" s="2"/>
      <c r="F120" s="2"/>
    </row>
    <row r="121" spans="4:6" x14ac:dyDescent="0.2">
      <c r="D121" s="2"/>
      <c r="F121" s="2"/>
    </row>
    <row r="122" spans="4:6" x14ac:dyDescent="0.2">
      <c r="D122" s="3"/>
    </row>
    <row r="123" spans="4:6" x14ac:dyDescent="0.2">
      <c r="D123" s="3"/>
    </row>
    <row r="124" spans="4:6" x14ac:dyDescent="0.2">
      <c r="D124" s="2"/>
      <c r="F124" s="2"/>
    </row>
  </sheetData>
  <sheetProtection password="CD2C" sheet="1" objects="1" scenarios="1"/>
  <mergeCells count="5">
    <mergeCell ref="K79:K80"/>
    <mergeCell ref="B84:C84"/>
    <mergeCell ref="D94:D95"/>
    <mergeCell ref="B44:C44"/>
    <mergeCell ref="B76:C76"/>
  </mergeCells>
  <phoneticPr fontId="2" type="noConversion"/>
  <pageMargins left="0.79000000000000015" right="0.79000000000000015" top="0.98" bottom="0.98" header="0.49" footer="0.49"/>
  <pageSetup paperSize="9" scale="63" orientation="portrait" r:id="rId1"/>
  <headerFooter alignWithMargins="0">
    <oddFooter>&amp;LDAC9883266 / 8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Kostenkalkulation Leerrohr</vt:lpstr>
      <vt:lpstr>'Kostenkalkulation Leerrohr'!Druckbereich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2015-07-30T08:16:00Z</cp:lastPrinted>
  <dcterms:created xsi:type="dcterms:W3CDTF">1900-12-31T23:00:00Z</dcterms:created>
  <dcterms:modified xsi:type="dcterms:W3CDTF">2023-09-11T15:18:56Z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rId">
    <vt:lpwstr>MHEIGL</vt:lpwstr>
  </property>
  <property fmtid="{D5CDD505-2E9C-101B-9397-08002B2CF9AE}" pid="3" name="operName">
    <vt:lpwstr>Heigl, Martin</vt:lpwstr>
  </property>
  <property fmtid="{D5CDD505-2E9C-101B-9397-08002B2CF9AE}" pid="4" name="operLocation">
    <vt:lpwstr>Vienna</vt:lpwstr>
  </property>
  <property fmtid="{D5CDD505-2E9C-101B-9397-08002B2CF9AE}" pid="5" name="operExtension">
    <vt:lpwstr>562</vt:lpwstr>
  </property>
  <property fmtid="{D5CDD505-2E9C-101B-9397-08002B2CF9AE}" pid="6" name="operPhone">
    <vt:lpwstr>43 1 515 15 562</vt:lpwstr>
  </property>
  <property fmtid="{D5CDD505-2E9C-101B-9397-08002B2CF9AE}" pid="7" name="operEmail">
    <vt:lpwstr>martin.heigl@freshfields.com</vt:lpwstr>
  </property>
  <property fmtid="{D5CDD505-2E9C-101B-9397-08002B2CF9AE}" pid="8" name="operFax">
    <vt:lpwstr>43 1 515 15 655 93</vt:lpwstr>
  </property>
  <property fmtid="{D5CDD505-2E9C-101B-9397-08002B2CF9AE}" pid="9" name="operCorresp">
    <vt:lpwstr>Martin Heigl</vt:lpwstr>
  </property>
  <property fmtid="{D5CDD505-2E9C-101B-9397-08002B2CF9AE}" pid="10" name="operInitials">
    <vt:lpwstr/>
  </property>
  <property fmtid="{D5CDD505-2E9C-101B-9397-08002B2CF9AE}" pid="11" name="authId">
    <vt:lpwstr>BBURTSCHER</vt:lpwstr>
  </property>
  <property fmtid="{D5CDD505-2E9C-101B-9397-08002B2CF9AE}" pid="12" name="authName">
    <vt:lpwstr>Burtscher, Bertram</vt:lpwstr>
  </property>
  <property fmtid="{D5CDD505-2E9C-101B-9397-08002B2CF9AE}" pid="13" name="authLocation">
    <vt:lpwstr>Vienna</vt:lpwstr>
  </property>
  <property fmtid="{D5CDD505-2E9C-101B-9397-08002B2CF9AE}" pid="14" name="authExtension">
    <vt:lpwstr>119</vt:lpwstr>
  </property>
  <property fmtid="{D5CDD505-2E9C-101B-9397-08002B2CF9AE}" pid="15" name="authPhone">
    <vt:lpwstr>43 1 515 15 119</vt:lpwstr>
  </property>
  <property fmtid="{D5CDD505-2E9C-101B-9397-08002B2CF9AE}" pid="16" name="authEmail">
    <vt:lpwstr>bertram.burtscher@freshfields.com</vt:lpwstr>
  </property>
  <property fmtid="{D5CDD505-2E9C-101B-9397-08002B2CF9AE}" pid="17" name="authFax">
    <vt:lpwstr>43 1 512 63 94</vt:lpwstr>
  </property>
  <property fmtid="{D5CDD505-2E9C-101B-9397-08002B2CF9AE}" pid="18" name="authCorresp">
    <vt:lpwstr>Dr. Bertram Burtscher</vt:lpwstr>
  </property>
  <property fmtid="{D5CDD505-2E9C-101B-9397-08002B2CF9AE}" pid="19" name="authInitials">
    <vt:lpwstr>BB</vt:lpwstr>
  </property>
  <property fmtid="{D5CDD505-2E9C-101B-9397-08002B2CF9AE}" pid="20" name="docClass">
    <vt:lpwstr>COURT</vt:lpwstr>
  </property>
  <property fmtid="{D5CDD505-2E9C-101B-9397-08002B2CF9AE}" pid="21" name="docSubClass">
    <vt:lpwstr/>
  </property>
  <property fmtid="{D5CDD505-2E9C-101B-9397-08002B2CF9AE}" pid="22" name="docLanguage">
    <vt:lpwstr>EN(UK)</vt:lpwstr>
  </property>
  <property fmtid="{D5CDD505-2E9C-101B-9397-08002B2CF9AE}" pid="23" name="docClient">
    <vt:lpwstr>153938</vt:lpwstr>
  </property>
  <property fmtid="{D5CDD505-2E9C-101B-9397-08002B2CF9AE}" pid="24" name="docMatter">
    <vt:lpwstr>0002</vt:lpwstr>
  </property>
  <property fmtid="{D5CDD505-2E9C-101B-9397-08002B2CF9AE}" pid="25" name="docCliMat">
    <vt:lpwstr>153938-0002</vt:lpwstr>
  </property>
  <property fmtid="{D5CDD505-2E9C-101B-9397-08002B2CF9AE}" pid="26" name="docGlobPracGroup">
    <vt:lpwstr/>
  </property>
  <property fmtid="{D5CDD505-2E9C-101B-9397-08002B2CF9AE}" pid="27" name="docGlobSectGroup">
    <vt:lpwstr/>
  </property>
  <property fmtid="{D5CDD505-2E9C-101B-9397-08002B2CF9AE}" pid="28" name="docOrganisation">
    <vt:lpwstr/>
  </property>
  <property fmtid="{D5CDD505-2E9C-101B-9397-08002B2CF9AE}" pid="29" name="docId">
    <vt:lpwstr>DAC9883266</vt:lpwstr>
  </property>
  <property fmtid="{D5CDD505-2E9C-101B-9397-08002B2CF9AE}" pid="30" name="docVersion">
    <vt:lpwstr>8</vt:lpwstr>
  </property>
  <property fmtid="{D5CDD505-2E9C-101B-9397-08002B2CF9AE}" pid="31" name="docIdVer">
    <vt:lpwstr>DAC9883266/8</vt:lpwstr>
  </property>
  <property fmtid="{D5CDD505-2E9C-101B-9397-08002B2CF9AE}" pid="32" name="docDesc">
    <vt:lpwstr>Beilage 1 D 2_11 Kalkulation Schnirchgasse - Arsenal</vt:lpwstr>
  </property>
  <property fmtid="{D5CDD505-2E9C-101B-9397-08002B2CF9AE}" pid="33" name="operClass">
    <vt:lpwstr>Fee Earner</vt:lpwstr>
  </property>
  <property fmtid="{D5CDD505-2E9C-101B-9397-08002B2CF9AE}" pid="34" name="authClass">
    <vt:lpwstr>Fee Earner</vt:lpwstr>
  </property>
</Properties>
</file>